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sheets/sheet4.xml" ContentType="application/vnd.openxmlformats-officedocument.spreadsheetml.worksheet+xml"/>
  <Override PartName="/xl/comments/comment3.xml" ContentType="application/vnd.openxmlformats-officedocument.spreadsheetml.comments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ssumptions" sheetId="1" state="visible" r:id="rId1"/>
    <sheet name="Instructions" sheetId="2" state="visible" r:id="rId2"/>
    <sheet name="Model" sheetId="3" state="visible" r:id="rId3"/>
    <sheet name="Output" sheetId="4" state="visible" r:id="rId4"/>
    <sheet name="Self-Check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"/>
    <numFmt numFmtId="165" formatCode="yyyy-mm-dd h:mm:ss"/>
    <numFmt numFmtId="166" formatCode="m/d/yyyy"/>
    <numFmt numFmtId="167" formatCode="0.00x"/>
  </numFmts>
  <fonts count="9">
    <font>
      <name val="Calibri"/>
      <family val="2"/>
      <color theme="1"/>
      <sz val="11"/>
      <scheme val="minor"/>
    </font>
    <font>
      <name val="Calibri"/>
      <b val="1"/>
      <color rgb="FF1F3864"/>
      <sz val="14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color rgb="FF0000FF"/>
      <sz val="11"/>
    </font>
    <font>
      <name val="Calibri"/>
      <color rgb="FF008000"/>
      <sz val="11"/>
    </font>
    <font>
      <name val="Calibri"/>
      <color rgb="FFC00000"/>
      <sz val="11"/>
    </font>
    <font>
      <name val="Calibri"/>
      <b val="1"/>
      <color rgb="FFFFFFFF"/>
      <sz val="11"/>
    </font>
    <font>
      <name val="Calibri"/>
      <color rgb="FFFFFFFF"/>
      <sz val="11"/>
    </font>
  </fonts>
  <fills count="6">
    <fill>
      <patternFill/>
    </fill>
    <fill>
      <patternFill patternType="gray125"/>
    </fill>
    <fill>
      <patternFill patternType="solid">
        <fgColor rgb="FFD9E1F2"/>
      </patternFill>
    </fill>
    <fill>
      <patternFill patternType="solid">
        <fgColor rgb="00FFFF00"/>
      </patternFill>
    </fill>
    <fill>
      <patternFill patternType="solid">
        <fgColor rgb="FFF2F2F2"/>
      </patternFill>
    </fill>
    <fill>
      <patternFill patternType="solid">
        <fgColor rgb="FF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2" borderId="0" pivotButton="0" quotePrefix="0" xfId="0"/>
    <xf numFmtId="0" fontId="2" fillId="0" borderId="0" pivotButton="0" quotePrefix="0" xfId="0"/>
    <xf numFmtId="164" fontId="4" fillId="0" borderId="0" pivotButton="0" quotePrefix="0" xfId="0"/>
    <xf numFmtId="10" fontId="4" fillId="0" borderId="0" pivotButton="0" quotePrefix="0" xfId="0"/>
    <xf numFmtId="3" fontId="4" fillId="0" borderId="0" pivotButton="0" quotePrefix="0" xfId="0"/>
    <xf numFmtId="166" fontId="4" fillId="0" borderId="0" pivotButton="0" quotePrefix="0" xfId="0"/>
    <xf numFmtId="10" fontId="0" fillId="3" borderId="0" pivotButton="0" quotePrefix="0" xfId="0"/>
    <xf numFmtId="0" fontId="2" fillId="4" borderId="0" pivotButton="0" quotePrefix="0" xfId="0"/>
    <xf numFmtId="0" fontId="4" fillId="4" borderId="0" pivotButton="0" quotePrefix="0" xfId="0"/>
    <xf numFmtId="0" fontId="3" fillId="4" borderId="0" pivotButton="0" quotePrefix="0" xfId="0"/>
    <xf numFmtId="0" fontId="5" fillId="4" borderId="0" pivotButton="0" quotePrefix="0" xfId="0"/>
    <xf numFmtId="0" fontId="6" fillId="4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3" fillId="0" borderId="0" pivotButton="0" quotePrefix="0" xfId="0"/>
    <xf numFmtId="164" fontId="0" fillId="3" borderId="0" pivotButton="0" quotePrefix="0" xfId="0"/>
    <xf numFmtId="164" fontId="5" fillId="0" borderId="0" pivotButton="0" quotePrefix="0" xfId="0"/>
    <xf numFmtId="164" fontId="3" fillId="0" borderId="0" pivotButton="0" quotePrefix="0" xfId="0"/>
    <xf numFmtId="0" fontId="0" fillId="3" borderId="0" pivotButton="0" quotePrefix="0" xfId="0"/>
    <xf numFmtId="0" fontId="7" fillId="5" borderId="0" applyAlignment="1" pivotButton="0" quotePrefix="0" xfId="0">
      <alignment horizontal="center" vertical="center" wrapText="1"/>
    </xf>
    <xf numFmtId="166" fontId="5" fillId="0" borderId="0" pivotButton="0" quotePrefix="0" xfId="0"/>
    <xf numFmtId="166" fontId="3" fillId="0" borderId="0" pivotButton="0" quotePrefix="0" xfId="0"/>
    <xf numFmtId="1" fontId="3" fillId="0" borderId="0" pivotButton="0" quotePrefix="0" xfId="0"/>
    <xf numFmtId="0" fontId="4" fillId="0" borderId="0" pivotButton="0" quotePrefix="0" xfId="0"/>
    <xf numFmtId="167" fontId="0" fillId="3" borderId="0" pivotButton="0" quotePrefix="0" xfId="0"/>
    <xf numFmtId="0" fontId="3" fillId="0" borderId="0" applyAlignment="1" pivotButton="0" quotePrefix="0" xfId="0">
      <alignment horizontal="center"/>
    </xf>
    <xf numFmtId="4" fontId="8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FFC6EFCE"/>
        </patternFill>
      </fill>
    </dxf>
    <dxf>
      <font>
        <b val="1"/>
        <color rgb="FFC00000"/>
      </font>
      <fill>
        <patternFill patternType="solid">
          <fgColor rgb="FFFFC7CE"/>
        </patternFill>
      </fill>
    </dxf>
    <dxf>
      <fill>
        <patternFill patternType="solid">
          <f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comments/comment1.xml><?xml version="1.0" encoding="utf-8"?>
<comments xmlns="http://schemas.openxmlformats.org/spreadsheetml/2006/main">
  <authors>
    <author>Course</author>
  </authors>
  <commentList>
    <comment ref="B23" authorId="0" shapeId="0">
      <text>
        <t>TODO: All-in rate = SOFR + spread: =$B11+$B12 (anchor them).</t>
      </text>
    </comment>
  </commentList>
</comments>
</file>

<file path=xl/comments/comment2.xml><?xml version="1.0" encoding="utf-8"?>
<comments xmlns="http://schemas.openxmlformats.org/spreadsheetml/2006/main">
  <authors>
    <author>Course</author>
  </authors>
  <commentList>
    <comment ref="B5" authorId="0" shapeId="0">
      <text>
        <t>TODO: Max loan @ LTC = LTC% x cost: =Assumptions!$B$8*Assumptions!$B$7</t>
      </text>
    </comment>
    <comment ref="B6" authorId="0" shapeId="0">
      <text>
        <t>TODO: Max loan @ LTV = LTV% x value: =Assumptions!$B$9*Assumptions!$B$6</t>
      </text>
    </comment>
    <comment ref="B7" authorId="0" shapeId="0">
      <text>
        <t>TODO: Loan = MIN(LTC cap, LTV cap).</t>
      </text>
    </comment>
    <comment ref="B8" authorId="0" shapeId="0">
      <text>
        <t>TODO: Which binds? IF(LTC&lt;=LTV,"LTC binds","LTV binds").</t>
      </text>
    </comment>
    <comment ref="E13" authorId="0" shapeId="0">
      <text>
        <t>TODO: Actual/360 interest: =D13*rate*C13/360*F13. Reference the all-in rate on Assumptions. Fill down.</t>
      </text>
    </comment>
    <comment ref="G13" authorId="0" shapeId="0">
      <text>
        <t>TODO: Principal repaid: =IF(A13=term, D13, 0). Zero until payoff.</t>
      </text>
    </comment>
    <comment ref="H13" authorId="0" shapeId="0">
      <text>
        <t>TODO: End Bal corkscrew: =D13-G13.</t>
      </text>
    </comment>
  </commentList>
</comments>
</file>

<file path=xl/comments/comment3.xml><?xml version="1.0" encoding="utf-8"?>
<comments xmlns="http://schemas.openxmlformats.org/spreadsheetml/2006/main">
  <authors>
    <author>Course</author>
  </authors>
  <commentList>
    <comment ref="B4" authorId="0" shapeId="0">
      <text>
        <t>TODO: Annual debt service (IO): =Model!B7*Assumptions!$B$23</t>
      </text>
    </comment>
    <comment ref="B5" authorId="0" shapeId="0">
      <text>
        <t>TODO: DSCR — in-place: =Assumptions!$B$19/B4</t>
      </text>
    </comment>
    <comment ref="B6" authorId="0" shapeId="0">
      <text>
        <t>TODO: DSCR — stabilized: =Assumptions!$B$20/B4</t>
      </text>
    </comment>
    <comment ref="B7" authorId="0" shapeId="0">
      <text>
        <t>TODO: Debt yield — in-place: =Assumptions!$B$19/Model!B7</t>
      </text>
    </comment>
    <comment ref="B8" authorId="0" shapeId="0">
      <text>
        <t>TODO: Debt yield — stabilized: =Assumptions!$B$20/Model!B7</t>
      </text>
    </comment>
    <comment ref="B9" authorId="0" shapeId="0">
      <text>
        <t>TODO: LTV (stabilized): =Model!B7/Assumptions!$B$6</t>
      </text>
    </comment>
    <comment ref="B10" authorId="0" shapeId="0">
      <text>
        <t>TODO: LTC: =Model!B7/Assumptions!$B$7</t>
      </text>
    </comment>
    <comment ref="B11" authorId="0" shapeId="0">
      <text>
        <t>TODO: Lender XIRR (gross): =XIRR(Model!I12:I48,Model!B12:B48,0.1)</t>
      </text>
    </comment>
    <comment ref="B12" authorId="0" shapeId="0">
      <text>
        <t>TODO: Lender MOIC: =SUM(Model!I13:I48)/-Model!I12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3.xml" Id="comments" /><Relationship Type="http://schemas.openxmlformats.org/officeDocument/2006/relationships/vmlDrawing" Target="/xl/drawings/commentsDrawing3.vml" Id="anysvml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9"/>
  <sheetViews>
    <sheetView workbookViewId="0">
      <selection activeCell="A1" sqref="A1"/>
    </sheetView>
  </sheetViews>
  <sheetFormatPr baseColWidth="8" defaultRowHeight="15"/>
  <cols>
    <col width="32" customWidth="1" min="1" max="1"/>
    <col width="16" customWidth="1" min="2" max="2"/>
  </cols>
  <sheetData>
    <row r="1" ht="22" customHeight="1">
      <c r="A1" s="1" t="inlineStr">
        <is>
          <t>Module 04 — Bridge Loan: Assumptions</t>
        </is>
      </c>
    </row>
    <row r="5">
      <c r="A5" s="2" t="inlineStr">
        <is>
          <t>DEAL (illustrative)</t>
        </is>
      </c>
      <c r="B5" s="3" t="n"/>
    </row>
    <row r="6">
      <c r="A6" s="4" t="inlineStr">
        <is>
          <t>As-stabilized value</t>
        </is>
      </c>
      <c r="B6" s="5" t="n">
        <v>40000000</v>
      </c>
    </row>
    <row r="7">
      <c r="A7" s="4" t="inlineStr">
        <is>
          <t>Total project cost</t>
        </is>
      </c>
      <c r="B7" s="5" t="n">
        <v>30000000</v>
      </c>
    </row>
    <row r="8">
      <c r="A8" s="4" t="inlineStr">
        <is>
          <t>Max LTC %</t>
        </is>
      </c>
      <c r="B8" s="6" t="n">
        <v>0.7</v>
      </c>
    </row>
    <row r="9">
      <c r="A9" s="4" t="inlineStr">
        <is>
          <t>Max LTV %</t>
        </is>
      </c>
      <c r="B9" s="6" t="n">
        <v>0.65</v>
      </c>
    </row>
    <row r="10">
      <c r="A10" s="2" t="inlineStr">
        <is>
          <t>RATE</t>
        </is>
      </c>
      <c r="B10" s="3" t="n"/>
    </row>
    <row r="11">
      <c r="A11" s="4" t="inlineStr">
        <is>
          <t>1-mo Term SOFR</t>
        </is>
      </c>
      <c r="B11" s="6" t="n">
        <v>0.043</v>
      </c>
    </row>
    <row r="12">
      <c r="A12" s="4" t="inlineStr">
        <is>
          <t>Spread (bps as %)</t>
        </is>
      </c>
      <c r="B12" s="6" t="n">
        <v>0.035</v>
      </c>
    </row>
    <row r="13">
      <c r="A13" s="2" t="inlineStr">
        <is>
          <t>TERMS</t>
        </is>
      </c>
      <c r="B13" s="3" t="n"/>
    </row>
    <row r="14">
      <c r="A14" s="4" t="inlineStr">
        <is>
          <t>Term (months)</t>
        </is>
      </c>
      <c r="B14" s="7" t="n">
        <v>36</v>
      </c>
    </row>
    <row r="15">
      <c r="A15" s="4" t="inlineStr">
        <is>
          <t>Origination fee %</t>
        </is>
      </c>
      <c r="B15" s="6" t="n">
        <v>0.01</v>
      </c>
    </row>
    <row r="16">
      <c r="A16" s="4" t="inlineStr">
        <is>
          <t>Exit fee %</t>
        </is>
      </c>
      <c r="B16" s="6" t="n">
        <v>0.005</v>
      </c>
    </row>
    <row r="17">
      <c r="A17" s="4" t="inlineStr">
        <is>
          <t>Close date</t>
        </is>
      </c>
      <c r="B17" s="8" t="n">
        <v>46023</v>
      </c>
    </row>
    <row r="18">
      <c r="A18" s="2" t="inlineStr">
        <is>
          <t>NOI</t>
        </is>
      </c>
      <c r="B18" s="3" t="n"/>
    </row>
    <row r="19">
      <c r="A19" s="4" t="inlineStr">
        <is>
          <t>In-place NOI</t>
        </is>
      </c>
      <c r="B19" s="5" t="n">
        <v>1400000</v>
      </c>
    </row>
    <row r="20">
      <c r="A20" s="4" t="inlineStr">
        <is>
          <t>Stabilized NOI</t>
        </is>
      </c>
      <c r="B20" s="5" t="n">
        <v>2250000</v>
      </c>
    </row>
    <row r="22">
      <c r="A22" s="2" t="inlineStr">
        <is>
          <t>DERIVED</t>
        </is>
      </c>
      <c r="B22" s="3" t="n"/>
    </row>
    <row r="23">
      <c r="A23" s="4" t="inlineStr">
        <is>
          <t>All-in rate (SOFR+spread)</t>
        </is>
      </c>
      <c r="B23" s="9" t="n"/>
    </row>
    <row r="25">
      <c r="A25" s="10" t="inlineStr">
        <is>
          <t>COLOR LEGEND</t>
        </is>
      </c>
    </row>
    <row r="26">
      <c r="A26" s="11" t="inlineStr">
        <is>
          <t>Blue = input / assumption</t>
        </is>
      </c>
    </row>
    <row r="27">
      <c r="A27" s="12" t="inlineStr">
        <is>
          <t>Black = formula / calculation</t>
        </is>
      </c>
    </row>
    <row r="28">
      <c r="A28" s="13" t="inlineStr">
        <is>
          <t>Green = link to another sheet</t>
        </is>
      </c>
    </row>
    <row r="29">
      <c r="A29" s="14" t="inlineStr">
        <is>
          <t>Red = warning / failed check</t>
        </is>
      </c>
    </row>
  </sheetData>
  <mergeCells count="1">
    <mergeCell ref="A1:H1"/>
  </mergeCells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5" t="inlineStr">
        <is>
          <t>Module 04 — Single-Loan Underwriting Cash-Flow &amp; Returns</t>
        </is>
      </c>
    </row>
    <row r="2">
      <c r="A2" s="16" t="inlineStr">
        <is>
          <t>Goal: build a clean single-loan bridge underwrite with Actual/360 interest, fees, payoff and the full credit-metric set.</t>
        </is>
      </c>
    </row>
    <row r="3">
      <c r="A3" s="17" t="inlineStr">
        <is>
          <t>Term sheet (illustrative): value-add multifamily. As-stabilized value $40,000,000; total project cost $30,000,000. Senior loan = lower of 70% LTC ($21,000,000) and 65% LTV ($26,000,000). Rate = 1-mo Term SOFR 4.30% + 350 bps, floating, Actual/360. Term 36 months, full-term I/O. Origination 1.00%, exit 0.50%. In-place NOI $1,400,000; stabilized NOI $2,250,000. Payoff at month 36 at par + exit fee.</t>
        </is>
      </c>
    </row>
    <row r="4">
      <c r="A4" s="17" t="inlineStr">
        <is>
          <t>Estimated time: 60-75 minutes.</t>
        </is>
      </c>
    </row>
    <row r="5">
      <c r="A5" s="17" t="inlineStr"/>
    </row>
    <row r="6">
      <c r="A6" s="16" t="inlineStr">
        <is>
          <t>Tasks:</t>
        </is>
      </c>
    </row>
    <row r="7">
      <c r="A7" s="17" t="inlineStr">
        <is>
          <t>1. RATE: SOFR + spread on the Assumptions tab.</t>
        </is>
      </c>
    </row>
    <row r="8">
      <c r="A8" s="17" t="inlineStr">
        <is>
          <t>2. SIZING: loan = MIN(LTC cap, LTV cap). Show which constraint binds.</t>
        </is>
      </c>
    </row>
    <row r="9">
      <c r="A9" s="17" t="inlineStr">
        <is>
          <t>3. INTEREST: monthly Actual/360 interest = Beg Bal x rate x days/360, gated by the I/O flag (=1 all term).</t>
        </is>
      </c>
    </row>
    <row r="10">
      <c r="A10" s="17" t="inlineStr">
        <is>
          <t>4. PAYOFF: principal repaid = full balance at month 36; add the exit fee to the lender cash flow.</t>
        </is>
      </c>
    </row>
    <row r="11">
      <c r="A11" s="17" t="inlineStr">
        <is>
          <t>5. METRICS: DSCR (in-place and stabilized), debt yield (both), LTV, LTC.</t>
        </is>
      </c>
    </row>
    <row r="12">
      <c r="A12" s="17" t="inlineStr">
        <is>
          <t>6. RETURNS: lender XIRR and MOIC on the dated cash-flow column.</t>
        </is>
      </c>
    </row>
    <row r="13">
      <c r="A13" s="17" t="inlineStr"/>
    </row>
    <row r="14">
      <c r="A14" s="17" t="inlineStr">
        <is>
          <t>Day-count: accrue on Actual/360. XIRR discounts on Actual/365 — keep them straight. Make the binding constraint visible (LTC binds here).</t>
        </is>
      </c>
    </row>
    <row r="15">
      <c r="A15" s="16" t="inlineStr">
        <is>
          <t>Open Self-Check: metrics and lender XIRR should read 'OK correct'.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48"/>
  <sheetViews>
    <sheetView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26" customWidth="1" min="1" max="1"/>
    <col width="14" customWidth="1" min="2" max="2"/>
    <col width="8" customWidth="1" min="3" max="3"/>
    <col width="13" customWidth="1" min="4" max="4"/>
    <col width="14" customWidth="1" min="5" max="5"/>
    <col width="7" customWidth="1" min="6" max="6"/>
    <col width="14" customWidth="1" min="7" max="7"/>
    <col width="14" customWidth="1" min="8" max="8"/>
    <col width="16" customWidth="1" min="9" max="9"/>
  </cols>
  <sheetData>
    <row r="1" ht="22" customHeight="1">
      <c r="A1" s="1" t="inlineStr">
        <is>
          <t>Model — sizing, sources &amp; uses, Actual/360 schedule</t>
        </is>
      </c>
    </row>
    <row r="4">
      <c r="A4" s="2" t="inlineStr">
        <is>
          <t>LOAN SIZING</t>
        </is>
      </c>
      <c r="B4" s="3" t="n"/>
      <c r="C4" s="3" t="n"/>
      <c r="D4" s="2" t="inlineStr">
        <is>
          <t>SOURCES &amp; USES</t>
        </is>
      </c>
      <c r="E4" s="3" t="n"/>
      <c r="F4" s="3" t="n"/>
    </row>
    <row r="5">
      <c r="A5" s="18" t="inlineStr">
        <is>
          <t>Max loan @ LTC</t>
        </is>
      </c>
      <c r="B5" s="19" t="n"/>
      <c r="D5" s="18" t="inlineStr">
        <is>
          <t>Uses: project cost</t>
        </is>
      </c>
      <c r="E5" s="20">
        <f>Assumptions!$B$7</f>
        <v/>
      </c>
    </row>
    <row r="6">
      <c r="A6" s="18" t="inlineStr">
        <is>
          <t>Max loan @ LTV</t>
        </is>
      </c>
      <c r="B6" s="19" t="n"/>
      <c r="D6" s="18" t="inlineStr">
        <is>
          <t>Sources: senior loan</t>
        </is>
      </c>
      <c r="E6" s="21">
        <f>B7</f>
        <v/>
      </c>
    </row>
    <row r="7">
      <c r="A7" s="4" t="inlineStr">
        <is>
          <t>Loan amount (binding)</t>
        </is>
      </c>
      <c r="B7" s="19" t="n"/>
      <c r="D7" s="18" t="inlineStr">
        <is>
          <t>Sources: sponsor equity</t>
        </is>
      </c>
      <c r="E7" s="21">
        <f>E5-E6</f>
        <v/>
      </c>
    </row>
    <row r="8">
      <c r="A8" s="18" t="inlineStr">
        <is>
          <t>Binding constraint</t>
        </is>
      </c>
      <c r="B8" s="22" t="n"/>
      <c r="D8" s="4" t="inlineStr">
        <is>
          <t>Total sources</t>
        </is>
      </c>
      <c r="E8" s="21">
        <f>E6+E7</f>
        <v/>
      </c>
    </row>
    <row r="11">
      <c r="A11" s="23" t="inlineStr">
        <is>
          <t>Month</t>
        </is>
      </c>
      <c r="B11" s="23" t="inlineStr">
        <is>
          <t>Date</t>
        </is>
      </c>
      <c r="C11" s="23" t="inlineStr">
        <is>
          <t>Days</t>
        </is>
      </c>
      <c r="D11" s="23" t="inlineStr">
        <is>
          <t>Beg Bal</t>
        </is>
      </c>
      <c r="E11" s="23" t="inlineStr">
        <is>
          <t>Interest</t>
        </is>
      </c>
      <c r="F11" s="23" t="inlineStr">
        <is>
          <t>IO flag</t>
        </is>
      </c>
      <c r="G11" s="23" t="inlineStr">
        <is>
          <t>Princ. repaid</t>
        </is>
      </c>
      <c r="H11" s="23" t="inlineStr">
        <is>
          <t>End Bal</t>
        </is>
      </c>
      <c r="I11" s="23" t="inlineStr">
        <is>
          <t>Lender CF</t>
        </is>
      </c>
    </row>
    <row r="12">
      <c r="A12" s="18" t="n">
        <v>0</v>
      </c>
      <c r="B12" s="24">
        <f>Assumptions!$B$17</f>
        <v/>
      </c>
      <c r="D12" s="21">
        <f>B7</f>
        <v/>
      </c>
      <c r="I12" s="21">
        <f>-(B7-B7*Assumptions!$B$15)</f>
        <v/>
      </c>
    </row>
    <row r="13">
      <c r="A13" s="18" t="n">
        <v>1</v>
      </c>
      <c r="B13" s="25">
        <f>EDATE(Assumptions!$B$17,A13)</f>
        <v/>
      </c>
      <c r="C13" s="26">
        <f>B13-B12</f>
        <v/>
      </c>
      <c r="D13" s="21">
        <f>D12</f>
        <v/>
      </c>
      <c r="E13" s="19" t="n"/>
      <c r="F13" s="27" t="n">
        <v>1</v>
      </c>
      <c r="G13" s="19" t="n"/>
      <c r="H13" s="19" t="n"/>
      <c r="I13" s="21">
        <f>E13+G13+IF(A13=Assumptions!$B$14,B7*Assumptions!$B$16,0)</f>
        <v/>
      </c>
    </row>
    <row r="14">
      <c r="A14" s="18" t="n">
        <v>2</v>
      </c>
      <c r="B14" s="25">
        <f>EDATE(Assumptions!$B$17,A14)</f>
        <v/>
      </c>
      <c r="C14" s="26">
        <f>B14-B13</f>
        <v/>
      </c>
      <c r="D14" s="21">
        <f>H13</f>
        <v/>
      </c>
      <c r="F14" s="27" t="n">
        <v>1</v>
      </c>
      <c r="H14" s="21">
        <f>D14-G14</f>
        <v/>
      </c>
      <c r="I14" s="21">
        <f>E14+G14+IF(A14=Assumptions!$B$14,B7*Assumptions!$B$16,0)</f>
        <v/>
      </c>
    </row>
    <row r="15">
      <c r="A15" s="18" t="n">
        <v>3</v>
      </c>
      <c r="B15" s="25">
        <f>EDATE(Assumptions!$B$17,A15)</f>
        <v/>
      </c>
      <c r="C15" s="26">
        <f>B15-B14</f>
        <v/>
      </c>
      <c r="D15" s="21">
        <f>H14</f>
        <v/>
      </c>
      <c r="F15" s="27" t="n">
        <v>1</v>
      </c>
      <c r="H15" s="21">
        <f>D15-G15</f>
        <v/>
      </c>
      <c r="I15" s="21">
        <f>E15+G15+IF(A15=Assumptions!$B$14,B7*Assumptions!$B$16,0)</f>
        <v/>
      </c>
    </row>
    <row r="16">
      <c r="A16" s="18" t="n">
        <v>4</v>
      </c>
      <c r="B16" s="25">
        <f>EDATE(Assumptions!$B$17,A16)</f>
        <v/>
      </c>
      <c r="C16" s="26">
        <f>B16-B15</f>
        <v/>
      </c>
      <c r="D16" s="21">
        <f>H15</f>
        <v/>
      </c>
      <c r="F16" s="27" t="n">
        <v>1</v>
      </c>
      <c r="H16" s="21">
        <f>D16-G16</f>
        <v/>
      </c>
      <c r="I16" s="21">
        <f>E16+G16+IF(A16=Assumptions!$B$14,B7*Assumptions!$B$16,0)</f>
        <v/>
      </c>
    </row>
    <row r="17">
      <c r="A17" s="18" t="n">
        <v>5</v>
      </c>
      <c r="B17" s="25">
        <f>EDATE(Assumptions!$B$17,A17)</f>
        <v/>
      </c>
      <c r="C17" s="26">
        <f>B17-B16</f>
        <v/>
      </c>
      <c r="D17" s="21">
        <f>H16</f>
        <v/>
      </c>
      <c r="F17" s="27" t="n">
        <v>1</v>
      </c>
      <c r="H17" s="21">
        <f>D17-G17</f>
        <v/>
      </c>
      <c r="I17" s="21">
        <f>E17+G17+IF(A17=Assumptions!$B$14,B7*Assumptions!$B$16,0)</f>
        <v/>
      </c>
    </row>
    <row r="18">
      <c r="A18" s="18" t="n">
        <v>6</v>
      </c>
      <c r="B18" s="25">
        <f>EDATE(Assumptions!$B$17,A18)</f>
        <v/>
      </c>
      <c r="C18" s="26">
        <f>B18-B17</f>
        <v/>
      </c>
      <c r="D18" s="21">
        <f>H17</f>
        <v/>
      </c>
      <c r="F18" s="27" t="n">
        <v>1</v>
      </c>
      <c r="H18" s="21">
        <f>D18-G18</f>
        <v/>
      </c>
      <c r="I18" s="21">
        <f>E18+G18+IF(A18=Assumptions!$B$14,B7*Assumptions!$B$16,0)</f>
        <v/>
      </c>
    </row>
    <row r="19">
      <c r="A19" s="18" t="n">
        <v>7</v>
      </c>
      <c r="B19" s="25">
        <f>EDATE(Assumptions!$B$17,A19)</f>
        <v/>
      </c>
      <c r="C19" s="26">
        <f>B19-B18</f>
        <v/>
      </c>
      <c r="D19" s="21">
        <f>H18</f>
        <v/>
      </c>
      <c r="F19" s="27" t="n">
        <v>1</v>
      </c>
      <c r="H19" s="21">
        <f>D19-G19</f>
        <v/>
      </c>
      <c r="I19" s="21">
        <f>E19+G19+IF(A19=Assumptions!$B$14,B7*Assumptions!$B$16,0)</f>
        <v/>
      </c>
    </row>
    <row r="20">
      <c r="A20" s="18" t="n">
        <v>8</v>
      </c>
      <c r="B20" s="25">
        <f>EDATE(Assumptions!$B$17,A20)</f>
        <v/>
      </c>
      <c r="C20" s="26">
        <f>B20-B19</f>
        <v/>
      </c>
      <c r="D20" s="21">
        <f>H19</f>
        <v/>
      </c>
      <c r="F20" s="27" t="n">
        <v>1</v>
      </c>
      <c r="H20" s="21">
        <f>D20-G20</f>
        <v/>
      </c>
      <c r="I20" s="21">
        <f>E20+G20+IF(A20=Assumptions!$B$14,B7*Assumptions!$B$16,0)</f>
        <v/>
      </c>
    </row>
    <row r="21">
      <c r="A21" s="18" t="n">
        <v>9</v>
      </c>
      <c r="B21" s="25">
        <f>EDATE(Assumptions!$B$17,A21)</f>
        <v/>
      </c>
      <c r="C21" s="26">
        <f>B21-B20</f>
        <v/>
      </c>
      <c r="D21" s="21">
        <f>H20</f>
        <v/>
      </c>
      <c r="F21" s="27" t="n">
        <v>1</v>
      </c>
      <c r="H21" s="21">
        <f>D21-G21</f>
        <v/>
      </c>
      <c r="I21" s="21">
        <f>E21+G21+IF(A21=Assumptions!$B$14,B7*Assumptions!$B$16,0)</f>
        <v/>
      </c>
    </row>
    <row r="22">
      <c r="A22" s="18" t="n">
        <v>10</v>
      </c>
      <c r="B22" s="25">
        <f>EDATE(Assumptions!$B$17,A22)</f>
        <v/>
      </c>
      <c r="C22" s="26">
        <f>B22-B21</f>
        <v/>
      </c>
      <c r="D22" s="21">
        <f>H21</f>
        <v/>
      </c>
      <c r="F22" s="27" t="n">
        <v>1</v>
      </c>
      <c r="H22" s="21">
        <f>D22-G22</f>
        <v/>
      </c>
      <c r="I22" s="21">
        <f>E22+G22+IF(A22=Assumptions!$B$14,B7*Assumptions!$B$16,0)</f>
        <v/>
      </c>
    </row>
    <row r="23">
      <c r="A23" s="18" t="n">
        <v>11</v>
      </c>
      <c r="B23" s="25">
        <f>EDATE(Assumptions!$B$17,A23)</f>
        <v/>
      </c>
      <c r="C23" s="26">
        <f>B23-B22</f>
        <v/>
      </c>
      <c r="D23" s="21">
        <f>H22</f>
        <v/>
      </c>
      <c r="F23" s="27" t="n">
        <v>1</v>
      </c>
      <c r="H23" s="21">
        <f>D23-G23</f>
        <v/>
      </c>
      <c r="I23" s="21">
        <f>E23+G23+IF(A23=Assumptions!$B$14,B7*Assumptions!$B$16,0)</f>
        <v/>
      </c>
    </row>
    <row r="24">
      <c r="A24" s="18" t="n">
        <v>12</v>
      </c>
      <c r="B24" s="25">
        <f>EDATE(Assumptions!$B$17,A24)</f>
        <v/>
      </c>
      <c r="C24" s="26">
        <f>B24-B23</f>
        <v/>
      </c>
      <c r="D24" s="21">
        <f>H23</f>
        <v/>
      </c>
      <c r="F24" s="27" t="n">
        <v>1</v>
      </c>
      <c r="H24" s="21">
        <f>D24-G24</f>
        <v/>
      </c>
      <c r="I24" s="21">
        <f>E24+G24+IF(A24=Assumptions!$B$14,B7*Assumptions!$B$16,0)</f>
        <v/>
      </c>
    </row>
    <row r="25">
      <c r="A25" s="18" t="n">
        <v>13</v>
      </c>
      <c r="B25" s="25">
        <f>EDATE(Assumptions!$B$17,A25)</f>
        <v/>
      </c>
      <c r="C25" s="26">
        <f>B25-B24</f>
        <v/>
      </c>
      <c r="D25" s="21">
        <f>H24</f>
        <v/>
      </c>
      <c r="F25" s="27" t="n">
        <v>1</v>
      </c>
      <c r="H25" s="21">
        <f>D25-G25</f>
        <v/>
      </c>
      <c r="I25" s="21">
        <f>E25+G25+IF(A25=Assumptions!$B$14,B7*Assumptions!$B$16,0)</f>
        <v/>
      </c>
    </row>
    <row r="26">
      <c r="A26" s="18" t="n">
        <v>14</v>
      </c>
      <c r="B26" s="25">
        <f>EDATE(Assumptions!$B$17,A26)</f>
        <v/>
      </c>
      <c r="C26" s="26">
        <f>B26-B25</f>
        <v/>
      </c>
      <c r="D26" s="21">
        <f>H25</f>
        <v/>
      </c>
      <c r="F26" s="27" t="n">
        <v>1</v>
      </c>
      <c r="H26" s="21">
        <f>D26-G26</f>
        <v/>
      </c>
      <c r="I26" s="21">
        <f>E26+G26+IF(A26=Assumptions!$B$14,B7*Assumptions!$B$16,0)</f>
        <v/>
      </c>
    </row>
    <row r="27">
      <c r="A27" s="18" t="n">
        <v>15</v>
      </c>
      <c r="B27" s="25">
        <f>EDATE(Assumptions!$B$17,A27)</f>
        <v/>
      </c>
      <c r="C27" s="26">
        <f>B27-B26</f>
        <v/>
      </c>
      <c r="D27" s="21">
        <f>H26</f>
        <v/>
      </c>
      <c r="F27" s="27" t="n">
        <v>1</v>
      </c>
      <c r="H27" s="21">
        <f>D27-G27</f>
        <v/>
      </c>
      <c r="I27" s="21">
        <f>E27+G27+IF(A27=Assumptions!$B$14,B7*Assumptions!$B$16,0)</f>
        <v/>
      </c>
    </row>
    <row r="28">
      <c r="A28" s="18" t="n">
        <v>16</v>
      </c>
      <c r="B28" s="25">
        <f>EDATE(Assumptions!$B$17,A28)</f>
        <v/>
      </c>
      <c r="C28" s="26">
        <f>B28-B27</f>
        <v/>
      </c>
      <c r="D28" s="21">
        <f>H27</f>
        <v/>
      </c>
      <c r="F28" s="27" t="n">
        <v>1</v>
      </c>
      <c r="H28" s="21">
        <f>D28-G28</f>
        <v/>
      </c>
      <c r="I28" s="21">
        <f>E28+G28+IF(A28=Assumptions!$B$14,B7*Assumptions!$B$16,0)</f>
        <v/>
      </c>
    </row>
    <row r="29">
      <c r="A29" s="18" t="n">
        <v>17</v>
      </c>
      <c r="B29" s="25">
        <f>EDATE(Assumptions!$B$17,A29)</f>
        <v/>
      </c>
      <c r="C29" s="26">
        <f>B29-B28</f>
        <v/>
      </c>
      <c r="D29" s="21">
        <f>H28</f>
        <v/>
      </c>
      <c r="F29" s="27" t="n">
        <v>1</v>
      </c>
      <c r="H29" s="21">
        <f>D29-G29</f>
        <v/>
      </c>
      <c r="I29" s="21">
        <f>E29+G29+IF(A29=Assumptions!$B$14,B7*Assumptions!$B$16,0)</f>
        <v/>
      </c>
    </row>
    <row r="30">
      <c r="A30" s="18" t="n">
        <v>18</v>
      </c>
      <c r="B30" s="25">
        <f>EDATE(Assumptions!$B$17,A30)</f>
        <v/>
      </c>
      <c r="C30" s="26">
        <f>B30-B29</f>
        <v/>
      </c>
      <c r="D30" s="21">
        <f>H29</f>
        <v/>
      </c>
      <c r="F30" s="27" t="n">
        <v>1</v>
      </c>
      <c r="H30" s="21">
        <f>D30-G30</f>
        <v/>
      </c>
      <c r="I30" s="21">
        <f>E30+G30+IF(A30=Assumptions!$B$14,B7*Assumptions!$B$16,0)</f>
        <v/>
      </c>
    </row>
    <row r="31">
      <c r="A31" s="18" t="n">
        <v>19</v>
      </c>
      <c r="B31" s="25">
        <f>EDATE(Assumptions!$B$17,A31)</f>
        <v/>
      </c>
      <c r="C31" s="26">
        <f>B31-B30</f>
        <v/>
      </c>
      <c r="D31" s="21">
        <f>H30</f>
        <v/>
      </c>
      <c r="F31" s="27" t="n">
        <v>1</v>
      </c>
      <c r="H31" s="21">
        <f>D31-G31</f>
        <v/>
      </c>
      <c r="I31" s="21">
        <f>E31+G31+IF(A31=Assumptions!$B$14,B7*Assumptions!$B$16,0)</f>
        <v/>
      </c>
    </row>
    <row r="32">
      <c r="A32" s="18" t="n">
        <v>20</v>
      </c>
      <c r="B32" s="25">
        <f>EDATE(Assumptions!$B$17,A32)</f>
        <v/>
      </c>
      <c r="C32" s="26">
        <f>B32-B31</f>
        <v/>
      </c>
      <c r="D32" s="21">
        <f>H31</f>
        <v/>
      </c>
      <c r="F32" s="27" t="n">
        <v>1</v>
      </c>
      <c r="H32" s="21">
        <f>D32-G32</f>
        <v/>
      </c>
      <c r="I32" s="21">
        <f>E32+G32+IF(A32=Assumptions!$B$14,B7*Assumptions!$B$16,0)</f>
        <v/>
      </c>
    </row>
    <row r="33">
      <c r="A33" s="18" t="n">
        <v>21</v>
      </c>
      <c r="B33" s="25">
        <f>EDATE(Assumptions!$B$17,A33)</f>
        <v/>
      </c>
      <c r="C33" s="26">
        <f>B33-B32</f>
        <v/>
      </c>
      <c r="D33" s="21">
        <f>H32</f>
        <v/>
      </c>
      <c r="F33" s="27" t="n">
        <v>1</v>
      </c>
      <c r="H33" s="21">
        <f>D33-G33</f>
        <v/>
      </c>
      <c r="I33" s="21">
        <f>E33+G33+IF(A33=Assumptions!$B$14,B7*Assumptions!$B$16,0)</f>
        <v/>
      </c>
    </row>
    <row r="34">
      <c r="A34" s="18" t="n">
        <v>22</v>
      </c>
      <c r="B34" s="25">
        <f>EDATE(Assumptions!$B$17,A34)</f>
        <v/>
      </c>
      <c r="C34" s="26">
        <f>B34-B33</f>
        <v/>
      </c>
      <c r="D34" s="21">
        <f>H33</f>
        <v/>
      </c>
      <c r="F34" s="27" t="n">
        <v>1</v>
      </c>
      <c r="H34" s="21">
        <f>D34-G34</f>
        <v/>
      </c>
      <c r="I34" s="21">
        <f>E34+G34+IF(A34=Assumptions!$B$14,B7*Assumptions!$B$16,0)</f>
        <v/>
      </c>
    </row>
    <row r="35">
      <c r="A35" s="18" t="n">
        <v>23</v>
      </c>
      <c r="B35" s="25">
        <f>EDATE(Assumptions!$B$17,A35)</f>
        <v/>
      </c>
      <c r="C35" s="26">
        <f>B35-B34</f>
        <v/>
      </c>
      <c r="D35" s="21">
        <f>H34</f>
        <v/>
      </c>
      <c r="F35" s="27" t="n">
        <v>1</v>
      </c>
      <c r="H35" s="21">
        <f>D35-G35</f>
        <v/>
      </c>
      <c r="I35" s="21">
        <f>E35+G35+IF(A35=Assumptions!$B$14,B7*Assumptions!$B$16,0)</f>
        <v/>
      </c>
    </row>
    <row r="36">
      <c r="A36" s="18" t="n">
        <v>24</v>
      </c>
      <c r="B36" s="25">
        <f>EDATE(Assumptions!$B$17,A36)</f>
        <v/>
      </c>
      <c r="C36" s="26">
        <f>B36-B35</f>
        <v/>
      </c>
      <c r="D36" s="21">
        <f>H35</f>
        <v/>
      </c>
      <c r="F36" s="27" t="n">
        <v>1</v>
      </c>
      <c r="H36" s="21">
        <f>D36-G36</f>
        <v/>
      </c>
      <c r="I36" s="21">
        <f>E36+G36+IF(A36=Assumptions!$B$14,B7*Assumptions!$B$16,0)</f>
        <v/>
      </c>
    </row>
    <row r="37">
      <c r="A37" s="18" t="n">
        <v>25</v>
      </c>
      <c r="B37" s="25">
        <f>EDATE(Assumptions!$B$17,A37)</f>
        <v/>
      </c>
      <c r="C37" s="26">
        <f>B37-B36</f>
        <v/>
      </c>
      <c r="D37" s="21">
        <f>H36</f>
        <v/>
      </c>
      <c r="F37" s="27" t="n">
        <v>1</v>
      </c>
      <c r="H37" s="21">
        <f>D37-G37</f>
        <v/>
      </c>
      <c r="I37" s="21">
        <f>E37+G37+IF(A37=Assumptions!$B$14,B7*Assumptions!$B$16,0)</f>
        <v/>
      </c>
    </row>
    <row r="38">
      <c r="A38" s="18" t="n">
        <v>26</v>
      </c>
      <c r="B38" s="25">
        <f>EDATE(Assumptions!$B$17,A38)</f>
        <v/>
      </c>
      <c r="C38" s="26">
        <f>B38-B37</f>
        <v/>
      </c>
      <c r="D38" s="21">
        <f>H37</f>
        <v/>
      </c>
      <c r="F38" s="27" t="n">
        <v>1</v>
      </c>
      <c r="H38" s="21">
        <f>D38-G38</f>
        <v/>
      </c>
      <c r="I38" s="21">
        <f>E38+G38+IF(A38=Assumptions!$B$14,B7*Assumptions!$B$16,0)</f>
        <v/>
      </c>
    </row>
    <row r="39">
      <c r="A39" s="18" t="n">
        <v>27</v>
      </c>
      <c r="B39" s="25">
        <f>EDATE(Assumptions!$B$17,A39)</f>
        <v/>
      </c>
      <c r="C39" s="26">
        <f>B39-B38</f>
        <v/>
      </c>
      <c r="D39" s="21">
        <f>H38</f>
        <v/>
      </c>
      <c r="F39" s="27" t="n">
        <v>1</v>
      </c>
      <c r="H39" s="21">
        <f>D39-G39</f>
        <v/>
      </c>
      <c r="I39" s="21">
        <f>E39+G39+IF(A39=Assumptions!$B$14,B7*Assumptions!$B$16,0)</f>
        <v/>
      </c>
    </row>
    <row r="40">
      <c r="A40" s="18" t="n">
        <v>28</v>
      </c>
      <c r="B40" s="25">
        <f>EDATE(Assumptions!$B$17,A40)</f>
        <v/>
      </c>
      <c r="C40" s="26">
        <f>B40-B39</f>
        <v/>
      </c>
      <c r="D40" s="21">
        <f>H39</f>
        <v/>
      </c>
      <c r="F40" s="27" t="n">
        <v>1</v>
      </c>
      <c r="H40" s="21">
        <f>D40-G40</f>
        <v/>
      </c>
      <c r="I40" s="21">
        <f>E40+G40+IF(A40=Assumptions!$B$14,B7*Assumptions!$B$16,0)</f>
        <v/>
      </c>
    </row>
    <row r="41">
      <c r="A41" s="18" t="n">
        <v>29</v>
      </c>
      <c r="B41" s="25">
        <f>EDATE(Assumptions!$B$17,A41)</f>
        <v/>
      </c>
      <c r="C41" s="26">
        <f>B41-B40</f>
        <v/>
      </c>
      <c r="D41" s="21">
        <f>H40</f>
        <v/>
      </c>
      <c r="F41" s="27" t="n">
        <v>1</v>
      </c>
      <c r="H41" s="21">
        <f>D41-G41</f>
        <v/>
      </c>
      <c r="I41" s="21">
        <f>E41+G41+IF(A41=Assumptions!$B$14,B7*Assumptions!$B$16,0)</f>
        <v/>
      </c>
    </row>
    <row r="42">
      <c r="A42" s="18" t="n">
        <v>30</v>
      </c>
      <c r="B42" s="25">
        <f>EDATE(Assumptions!$B$17,A42)</f>
        <v/>
      </c>
      <c r="C42" s="26">
        <f>B42-B41</f>
        <v/>
      </c>
      <c r="D42" s="21">
        <f>H41</f>
        <v/>
      </c>
      <c r="F42" s="27" t="n">
        <v>1</v>
      </c>
      <c r="H42" s="21">
        <f>D42-G42</f>
        <v/>
      </c>
      <c r="I42" s="21">
        <f>E42+G42+IF(A42=Assumptions!$B$14,B7*Assumptions!$B$16,0)</f>
        <v/>
      </c>
    </row>
    <row r="43">
      <c r="A43" s="18" t="n">
        <v>31</v>
      </c>
      <c r="B43" s="25">
        <f>EDATE(Assumptions!$B$17,A43)</f>
        <v/>
      </c>
      <c r="C43" s="26">
        <f>B43-B42</f>
        <v/>
      </c>
      <c r="D43" s="21">
        <f>H42</f>
        <v/>
      </c>
      <c r="F43" s="27" t="n">
        <v>1</v>
      </c>
      <c r="H43" s="21">
        <f>D43-G43</f>
        <v/>
      </c>
      <c r="I43" s="21">
        <f>E43+G43+IF(A43=Assumptions!$B$14,B7*Assumptions!$B$16,0)</f>
        <v/>
      </c>
    </row>
    <row r="44">
      <c r="A44" s="18" t="n">
        <v>32</v>
      </c>
      <c r="B44" s="25">
        <f>EDATE(Assumptions!$B$17,A44)</f>
        <v/>
      </c>
      <c r="C44" s="26">
        <f>B44-B43</f>
        <v/>
      </c>
      <c r="D44" s="21">
        <f>H43</f>
        <v/>
      </c>
      <c r="F44" s="27" t="n">
        <v>1</v>
      </c>
      <c r="H44" s="21">
        <f>D44-G44</f>
        <v/>
      </c>
      <c r="I44" s="21">
        <f>E44+G44+IF(A44=Assumptions!$B$14,B7*Assumptions!$B$16,0)</f>
        <v/>
      </c>
    </row>
    <row r="45">
      <c r="A45" s="18" t="n">
        <v>33</v>
      </c>
      <c r="B45" s="25">
        <f>EDATE(Assumptions!$B$17,A45)</f>
        <v/>
      </c>
      <c r="C45" s="26">
        <f>B45-B44</f>
        <v/>
      </c>
      <c r="D45" s="21">
        <f>H44</f>
        <v/>
      </c>
      <c r="F45" s="27" t="n">
        <v>1</v>
      </c>
      <c r="H45" s="21">
        <f>D45-G45</f>
        <v/>
      </c>
      <c r="I45" s="21">
        <f>E45+G45+IF(A45=Assumptions!$B$14,B7*Assumptions!$B$16,0)</f>
        <v/>
      </c>
    </row>
    <row r="46">
      <c r="A46" s="18" t="n">
        <v>34</v>
      </c>
      <c r="B46" s="25">
        <f>EDATE(Assumptions!$B$17,A46)</f>
        <v/>
      </c>
      <c r="C46" s="26">
        <f>B46-B45</f>
        <v/>
      </c>
      <c r="D46" s="21">
        <f>H45</f>
        <v/>
      </c>
      <c r="F46" s="27" t="n">
        <v>1</v>
      </c>
      <c r="H46" s="21">
        <f>D46-G46</f>
        <v/>
      </c>
      <c r="I46" s="21">
        <f>E46+G46+IF(A46=Assumptions!$B$14,B7*Assumptions!$B$16,0)</f>
        <v/>
      </c>
    </row>
    <row r="47">
      <c r="A47" s="18" t="n">
        <v>35</v>
      </c>
      <c r="B47" s="25">
        <f>EDATE(Assumptions!$B$17,A47)</f>
        <v/>
      </c>
      <c r="C47" s="26">
        <f>B47-B46</f>
        <v/>
      </c>
      <c r="D47" s="21">
        <f>H46</f>
        <v/>
      </c>
      <c r="F47" s="27" t="n">
        <v>1</v>
      </c>
      <c r="H47" s="21">
        <f>D47-G47</f>
        <v/>
      </c>
      <c r="I47" s="21">
        <f>E47+G47+IF(A47=Assumptions!$B$14,B7*Assumptions!$B$16,0)</f>
        <v/>
      </c>
    </row>
    <row r="48">
      <c r="A48" s="18" t="n">
        <v>36</v>
      </c>
      <c r="B48" s="25">
        <f>EDATE(Assumptions!$B$17,A48)</f>
        <v/>
      </c>
      <c r="C48" s="26">
        <f>B48-B47</f>
        <v/>
      </c>
      <c r="D48" s="21">
        <f>H47</f>
        <v/>
      </c>
      <c r="F48" s="27" t="n">
        <v>1</v>
      </c>
      <c r="H48" s="21">
        <f>D48-G48</f>
        <v/>
      </c>
      <c r="I48" s="21">
        <f>E48+G48+IF(A48=Assumptions!$B$14,B7*Assumptions!$B$16,0)</f>
        <v/>
      </c>
    </row>
  </sheetData>
  <mergeCells count="1">
    <mergeCell ref="A1:I1"/>
  </mergeCells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2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14" customWidth="1" min="3" max="3"/>
  </cols>
  <sheetData>
    <row r="1" ht="22" customHeight="1">
      <c r="A1" s="1" t="inlineStr">
        <is>
          <t>Output — credit metrics &amp; returns</t>
        </is>
      </c>
    </row>
    <row r="4">
      <c r="A4" s="4" t="inlineStr">
        <is>
          <t>Annual debt service (IO)</t>
        </is>
      </c>
      <c r="B4" s="19" t="n"/>
    </row>
    <row r="5">
      <c r="A5" s="4" t="inlineStr">
        <is>
          <t>DSCR — in-place</t>
        </is>
      </c>
      <c r="B5" s="28" t="n"/>
    </row>
    <row r="6">
      <c r="A6" s="4" t="inlineStr">
        <is>
          <t>DSCR — stabilized</t>
        </is>
      </c>
      <c r="B6" s="28" t="n"/>
    </row>
    <row r="7">
      <c r="A7" s="4" t="inlineStr">
        <is>
          <t>Debt yield — in-place</t>
        </is>
      </c>
      <c r="B7" s="9" t="n"/>
    </row>
    <row r="8">
      <c r="A8" s="4" t="inlineStr">
        <is>
          <t>Debt yield — stabilized</t>
        </is>
      </c>
      <c r="B8" s="9" t="n"/>
    </row>
    <row r="9">
      <c r="A9" s="4" t="inlineStr">
        <is>
          <t>LTV (stabilized)</t>
        </is>
      </c>
      <c r="B9" s="9" t="n"/>
    </row>
    <row r="10">
      <c r="A10" s="4" t="inlineStr">
        <is>
          <t>LTC</t>
        </is>
      </c>
      <c r="B10" s="9" t="n"/>
    </row>
    <row r="11">
      <c r="A11" s="4" t="inlineStr">
        <is>
          <t>Lender XIRR (gross)</t>
        </is>
      </c>
      <c r="B11" s="9" t="n"/>
    </row>
    <row r="12">
      <c r="A12" s="4" t="inlineStr">
        <is>
          <t>Lender MOIC</t>
        </is>
      </c>
      <c r="B12" s="28" t="n"/>
    </row>
    <row r="15">
      <c r="A15" s="2" t="inlineStr">
        <is>
          <t>CHECKS</t>
        </is>
      </c>
      <c r="B15" s="3" t="n"/>
      <c r="C15" s="3" t="n"/>
    </row>
    <row r="16">
      <c r="A16" s="18" t="inlineStr">
        <is>
          <t>Sources = Uses</t>
        </is>
      </c>
      <c r="C16" s="29">
        <f>IF(ABS(Model!E8-Model!E5)&lt;1,"OK","FAIL")</f>
        <v/>
      </c>
    </row>
    <row r="17">
      <c r="A17" s="18" t="inlineStr">
        <is>
          <t>Principal repaid = original loan</t>
        </is>
      </c>
      <c r="C17" s="29">
        <f>IF(ABS(SUM(Model!G13:G48)-Model!B7)&lt;1,"OK","FAIL")</f>
        <v/>
      </c>
    </row>
    <row r="18">
      <c r="A18" s="18" t="inlineStr">
        <is>
          <t>Ending balance at payoff = 0</t>
        </is>
      </c>
      <c r="C18" s="29">
        <f>IF(ABS(Model!H48)&lt;1,"OK","FAIL")</f>
        <v/>
      </c>
    </row>
    <row r="19">
      <c r="A19" s="18" t="inlineStr">
        <is>
          <t>Loan = MIN(caps) (LTC binds)</t>
        </is>
      </c>
      <c r="C19" s="29">
        <f>IF(ABS(Model!B7-Model!B5)&lt;1,"OK","FAIL")</f>
        <v/>
      </c>
    </row>
    <row r="20">
      <c r="A20" s="18" t="inlineStr">
        <is>
          <t>DSCR stabilized &gt; 0</t>
        </is>
      </c>
      <c r="C20" s="29">
        <f>IF(B6&gt;0,"OK","FAIL")</f>
        <v/>
      </c>
    </row>
    <row r="21">
      <c r="A21" s="18" t="inlineStr">
        <is>
          <t>Debt yield stabilized &gt; 0</t>
        </is>
      </c>
      <c r="C21" s="29">
        <f>IF(B8&gt;0,"OK","FAIL")</f>
        <v/>
      </c>
    </row>
    <row r="22">
      <c r="A22" s="18" t="inlineStr">
        <is>
          <t>Lender XIRR &gt; 0</t>
        </is>
      </c>
      <c r="C22" s="29">
        <f>IF(B11&gt;0,"OK","FAIL")</f>
        <v/>
      </c>
    </row>
  </sheetData>
  <mergeCells count="1">
    <mergeCell ref="A1:D1"/>
  </mergeCells>
  <conditionalFormatting sqref="C16:C22">
    <cfRule type="expression" priority="1" dxfId="0">
      <formula>EXACT(C16,"OK")</formula>
    </cfRule>
    <cfRule type="expression" priority="2" dxfId="1">
      <formula>EXACT(C16,"FAIL")</formula>
    </cfRule>
  </conditionalFormatting>
  <pageMargins left="0.75" right="0.75" top="1" bottom="1" header="0.5" footer="0.5"/>
  <legacyDrawing xmlns:r="http://schemas.openxmlformats.org/officeDocument/2006/relationships"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16" customWidth="1" min="3" max="3"/>
    <col width="16" customWidth="1" min="4" max="4"/>
  </cols>
  <sheetData>
    <row r="1" ht="22" customHeight="1">
      <c r="A1" s="1" t="inlineStr">
        <is>
          <t>Self-Check — should read 'OK correct'</t>
        </is>
      </c>
    </row>
    <row r="3">
      <c r="A3" s="23" t="inlineStr">
        <is>
          <t>Task</t>
        </is>
      </c>
      <c r="B3" s="23" t="inlineStr">
        <is>
          <t>Your cell</t>
        </is>
      </c>
      <c r="C3" s="23" t="inlineStr">
        <is>
          <t>(expected)</t>
        </is>
      </c>
      <c r="D3" s="23" t="inlineStr">
        <is>
          <t>Result</t>
        </is>
      </c>
    </row>
    <row r="4">
      <c r="A4" s="18" t="inlineStr">
        <is>
          <t>Loan amount (binding)</t>
        </is>
      </c>
      <c r="C4" s="30" t="n">
        <v>21000000</v>
      </c>
      <c r="D4" s="18">
        <f>IF(ABS(Model!B7-C4)&lt;=1,"OK correct","keep working")</f>
        <v/>
      </c>
    </row>
    <row r="5">
      <c r="A5" s="18" t="inlineStr">
        <is>
          <t>DSCR — stabilized</t>
        </is>
      </c>
      <c r="C5" s="30" t="n">
        <v>1.373626</v>
      </c>
      <c r="D5" s="18">
        <f>IF(ABS(Output!B6-C5)&lt;=0.001,"OK correct","keep working")</f>
        <v/>
      </c>
    </row>
    <row r="6">
      <c r="A6" s="18" t="inlineStr">
        <is>
          <t>Debt yield — stabilized</t>
        </is>
      </c>
      <c r="C6" s="30" t="n">
        <v>0.107143</v>
      </c>
      <c r="D6" s="18">
        <f>IF(ABS(Output!B8-C6)&lt;=0.0001,"OK correct","keep working")</f>
        <v/>
      </c>
    </row>
    <row r="7">
      <c r="A7" s="18" t="inlineStr">
        <is>
          <t>LTC</t>
        </is>
      </c>
      <c r="C7" s="30" t="n">
        <v>0.7</v>
      </c>
      <c r="D7" s="18">
        <f>IF(ABS(Output!B10-C7)&lt;=0.0001,"OK correct","keep working")</f>
        <v/>
      </c>
    </row>
    <row r="8">
      <c r="A8" s="18" t="inlineStr">
        <is>
          <t>Lender XIRR</t>
        </is>
      </c>
      <c r="C8" s="30" t="n">
        <v>0.087671</v>
      </c>
      <c r="D8" s="18">
        <f>IF(ABS(Output!B11-C8)&lt;=0.002,"OK correct","keep working")</f>
        <v/>
      </c>
    </row>
  </sheetData>
  <mergeCells count="1">
    <mergeCell ref="A1:D1"/>
  </mergeCells>
  <conditionalFormatting sqref="D4:D8">
    <cfRule type="expression" priority="1" dxfId="0">
      <formula>EXACT(D4,"OK correct")</formula>
    </cfRule>
    <cfRule type="expression" priority="2" dxfId="2">
      <formula>NOT(EXACT(D4,"OK correct"))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2026-06-18T16:06:56Z</dcterms:created>
  <dcterms:modified xsi:type="dcterms:W3CDTF">2026-06-18T16:06:56Z</dcterms:modified>
</cp:coreProperties>
</file>